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baranovs001\Documents\SM_2020_06\ziņojums\"/>
    </mc:Choice>
  </mc:AlternateContent>
  <xr:revisionPtr revIDLastSave="0" documentId="13_ncr:1_{7EC51ACA-8DF0-483A-886F-F8F2874C0EFE}" xr6:coauthVersionLast="45" xr6:coauthVersionMax="45" xr10:uidLastSave="{00000000-0000-0000-0000-000000000000}"/>
  <bookViews>
    <workbookView xWindow="-108" yWindow="-108" windowWidth="23256" windowHeight="12576" xr2:uid="{5D68710C-9A2E-4C9C-BCC6-EE905BE38FE8}"/>
  </bookViews>
  <sheets>
    <sheet name="Summary" sheetId="1" r:id="rId1"/>
    <sheet name="5.scen" sheetId="4" r:id="rId2"/>
    <sheet name="NPV_calc" sheetId="3" r:id="rId3"/>
  </sheets>
  <definedNames>
    <definedName name="diskonta_likme">NPV_calc!$C$3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7" i="4" l="1"/>
  <c r="B18" i="4"/>
  <c r="B16" i="4"/>
  <c r="A5" i="3" l="1"/>
  <c r="F4" i="4"/>
  <c r="O4" i="4" s="1"/>
  <c r="C4" i="4"/>
  <c r="N4" i="4" s="1"/>
  <c r="D5" i="4"/>
  <c r="H5" i="4"/>
  <c r="G5" i="4"/>
  <c r="E5" i="4"/>
  <c r="P4" i="4" l="1"/>
  <c r="O5" i="4"/>
  <c r="F5" i="4"/>
  <c r="C5" i="1" s="1"/>
  <c r="C5" i="4"/>
  <c r="C3" i="1" s="1"/>
  <c r="J4" i="4"/>
  <c r="I4" i="4"/>
  <c r="K4" i="4" s="1"/>
  <c r="E3" i="3"/>
  <c r="F3" i="3" s="1"/>
  <c r="G3" i="3" s="1"/>
  <c r="H3" i="3" s="1"/>
  <c r="I3" i="3" s="1"/>
  <c r="J3" i="3" s="1"/>
  <c r="K3" i="3" s="1"/>
  <c r="L3" i="3" s="1"/>
  <c r="M3" i="3" s="1"/>
  <c r="N3" i="3" s="1"/>
  <c r="O3" i="3" s="1"/>
  <c r="P3" i="3" s="1"/>
  <c r="Q3" i="3" s="1"/>
  <c r="R3" i="3" s="1"/>
  <c r="S3" i="3" s="1"/>
  <c r="T3" i="3" s="1"/>
  <c r="U3" i="3" s="1"/>
  <c r="V3" i="3" s="1"/>
  <c r="W3" i="3" s="1"/>
  <c r="X3" i="3" s="1"/>
  <c r="N5" i="4" l="1"/>
  <c r="C4" i="1"/>
  <c r="C5" i="3"/>
  <c r="P5" i="4"/>
  <c r="B10" i="1" s="1"/>
  <c r="J5" i="4"/>
  <c r="B15" i="1" s="1"/>
  <c r="I5" i="4"/>
  <c r="B14" i="1" s="1"/>
  <c r="V5" i="3" l="1"/>
  <c r="V6" i="3" s="1"/>
  <c r="R5" i="3"/>
  <c r="R6" i="3" s="1"/>
  <c r="N5" i="3"/>
  <c r="N6" i="3" s="1"/>
  <c r="J5" i="3"/>
  <c r="J6" i="3" s="1"/>
  <c r="F5" i="3"/>
  <c r="F6" i="3" s="1"/>
  <c r="T5" i="3"/>
  <c r="T6" i="3" s="1"/>
  <c r="H5" i="3"/>
  <c r="H6" i="3" s="1"/>
  <c r="O5" i="3"/>
  <c r="O6" i="3" s="1"/>
  <c r="G5" i="3"/>
  <c r="G6" i="3" s="1"/>
  <c r="U5" i="3"/>
  <c r="U6" i="3" s="1"/>
  <c r="Q5" i="3"/>
  <c r="Q6" i="3" s="1"/>
  <c r="M5" i="3"/>
  <c r="M6" i="3" s="1"/>
  <c r="I5" i="3"/>
  <c r="I6" i="3" s="1"/>
  <c r="E5" i="3"/>
  <c r="E6" i="3" s="1"/>
  <c r="E7" i="3" s="1"/>
  <c r="P5" i="3"/>
  <c r="P6" i="3" s="1"/>
  <c r="L5" i="3"/>
  <c r="L6" i="3" s="1"/>
  <c r="W5" i="3"/>
  <c r="W6" i="3" s="1"/>
  <c r="K5" i="3"/>
  <c r="K6" i="3" s="1"/>
  <c r="X5" i="3"/>
  <c r="X6" i="3" s="1"/>
  <c r="S5" i="3"/>
  <c r="S6" i="3" s="1"/>
  <c r="L4" i="4"/>
  <c r="K5" i="4"/>
  <c r="B13" i="1" s="1"/>
  <c r="L5" i="4" l="1"/>
  <c r="B17" i="1" s="1"/>
  <c r="C8" i="3"/>
  <c r="F7" i="3"/>
  <c r="G7" i="3" s="1"/>
  <c r="H7" i="3" s="1"/>
  <c r="I7" i="3" s="1"/>
  <c r="J7" i="3" s="1"/>
  <c r="K7" i="3" s="1"/>
  <c r="L7" i="3" s="1"/>
  <c r="M7" i="3" s="1"/>
  <c r="N7" i="3" s="1"/>
  <c r="O7" i="3" s="1"/>
  <c r="P7" i="3" s="1"/>
  <c r="Q7" i="3" s="1"/>
  <c r="R7" i="3" s="1"/>
  <c r="S7" i="3" s="1"/>
  <c r="T7" i="3" s="1"/>
  <c r="U7" i="3" s="1"/>
  <c r="V7" i="3" s="1"/>
  <c r="W7" i="3" s="1"/>
  <c r="X7" i="3" s="1"/>
  <c r="C7" i="3" s="1"/>
  <c r="Q4" i="4" s="1"/>
  <c r="Q5" i="4" l="1"/>
  <c r="B11" i="1" s="1"/>
  <c r="W8" i="3"/>
  <c r="W9" i="3" s="1"/>
  <c r="S8" i="3"/>
  <c r="S9" i="3" s="1"/>
  <c r="O8" i="3"/>
  <c r="O9" i="3" s="1"/>
  <c r="K8" i="3"/>
  <c r="K9" i="3" s="1"/>
  <c r="G8" i="3"/>
  <c r="G9" i="3" s="1"/>
  <c r="T8" i="3"/>
  <c r="T9" i="3" s="1"/>
  <c r="H8" i="3"/>
  <c r="H9" i="3" s="1"/>
  <c r="V8" i="3"/>
  <c r="V9" i="3" s="1"/>
  <c r="R8" i="3"/>
  <c r="R9" i="3" s="1"/>
  <c r="N8" i="3"/>
  <c r="N9" i="3" s="1"/>
  <c r="J8" i="3"/>
  <c r="J9" i="3" s="1"/>
  <c r="F8" i="3"/>
  <c r="F9" i="3" s="1"/>
  <c r="X8" i="3"/>
  <c r="X9" i="3" s="1"/>
  <c r="L8" i="3"/>
  <c r="L9" i="3" s="1"/>
  <c r="U8" i="3"/>
  <c r="U9" i="3" s="1"/>
  <c r="Q8" i="3"/>
  <c r="Q9" i="3" s="1"/>
  <c r="M8" i="3"/>
  <c r="M9" i="3" s="1"/>
  <c r="I8" i="3"/>
  <c r="I9" i="3" s="1"/>
  <c r="E8" i="3"/>
  <c r="E9" i="3" s="1"/>
  <c r="E10" i="3" s="1"/>
  <c r="P8" i="3"/>
  <c r="P9" i="3" s="1"/>
  <c r="F10" i="3" l="1"/>
  <c r="G10" i="3" s="1"/>
  <c r="H10" i="3" s="1"/>
  <c r="I10" i="3" s="1"/>
  <c r="J10" i="3" s="1"/>
  <c r="K10" i="3" s="1"/>
  <c r="L10" i="3" s="1"/>
  <c r="M10" i="3" s="1"/>
  <c r="N10" i="3" s="1"/>
  <c r="O10" i="3" s="1"/>
  <c r="P10" i="3" s="1"/>
  <c r="Q10" i="3" s="1"/>
  <c r="R10" i="3" s="1"/>
  <c r="S10" i="3" s="1"/>
  <c r="T10" i="3" s="1"/>
  <c r="U10" i="3" s="1"/>
  <c r="V10" i="3" s="1"/>
  <c r="W10" i="3" s="1"/>
  <c r="X10" i="3" s="1"/>
  <c r="C10" i="3" s="1"/>
  <c r="M4" i="4" s="1"/>
  <c r="M5" i="4" l="1"/>
  <c r="B18" i="1" s="1"/>
  <c r="S4" i="4"/>
  <c r="S5" i="4" s="1"/>
  <c r="B19" i="1" s="1"/>
</calcChain>
</file>

<file path=xl/sharedStrings.xml><?xml version="1.0" encoding="utf-8"?>
<sst xmlns="http://schemas.openxmlformats.org/spreadsheetml/2006/main" count="62" uniqueCount="60">
  <si>
    <t>diskonta likme</t>
  </si>
  <si>
    <t>periods (gads)</t>
  </si>
  <si>
    <t>Kopējās investīcijas, EUR</t>
  </si>
  <si>
    <t>Uzturēšanas izdevumi, EUR/gadā</t>
  </si>
  <si>
    <t>(1)</t>
  </si>
  <si>
    <t>(2)</t>
  </si>
  <si>
    <t>(3)</t>
  </si>
  <si>
    <t>(4)=(1)-(2)-(3)</t>
  </si>
  <si>
    <t>t.sk. jauno uzņēmumu skaits</t>
  </si>
  <si>
    <t>Net Present Value (NPV)</t>
  </si>
  <si>
    <t>Total NPV</t>
  </si>
  <si>
    <t>ATVK42_C</t>
  </si>
  <si>
    <t>Vidējā maksa vienam jaunam uzņēmumam par piekļuvi internetam (VHCN) 2027.gadā , EUR/mēnesī</t>
  </si>
  <si>
    <t>Vidējais maksas pieaugums vienam uzņēmumam par piekļuvi internetam (VHCN) 2027.gadā, EUR/mēnesī</t>
  </si>
  <si>
    <t>Vidējais maksas pieaugums vienai mājsaimniecībai par piekļuvi internetam (VHCN) 2027.gadā, EUR/mēnesī</t>
  </si>
  <si>
    <t>POPUL2027</t>
  </si>
  <si>
    <t>Vidējais mājsaimniecības lielums Latvijā (personas)</t>
  </si>
  <si>
    <t>MĀJSAIMNIECĪBAS</t>
  </si>
  <si>
    <t>UZŅĒMUMI</t>
  </si>
  <si>
    <t>JAUNIE UZŅ.</t>
  </si>
  <si>
    <t>TORNI</t>
  </si>
  <si>
    <t>TORNI305</t>
  </si>
  <si>
    <t>Vidēji vienas jaunas 5G BS izmaksas, EUR</t>
  </si>
  <si>
    <t>Vidēji viena jauna bāzes staciju torņa izbūve, EUR</t>
  </si>
  <si>
    <t>Vidējais attālums no mobilo sakaru torņa līdz optikas pieslēgumam, km</t>
  </si>
  <si>
    <t>Vidējās viena kilometra optikas ievilkšanas izmaksas, EUR/km</t>
  </si>
  <si>
    <t>Vidējais esošo 4G torņu skaits, ko jāpieslēdz optikai (%)</t>
  </si>
  <si>
    <t>Jaunas 5G bāzes stacijas uzstādīšana uz jau esošiem 4G torņiem un to pieslēgšana optikas maģistrālei (EUR)</t>
  </si>
  <si>
    <t>Kopējās investīcijas (EUR)</t>
  </si>
  <si>
    <t>Mājsaimniecību skaits (ko papildus aptvers VHCN 2027.gadā)</t>
  </si>
  <si>
    <t>Uzņēmumu skaits (ko papildus aptvers VHCN 2027.gadā)</t>
  </si>
  <si>
    <t>Vidējais uzturēšanas izdevumu īpatsvars gadā no kopējām investīcijām (%)</t>
  </si>
  <si>
    <t>Kopējās uzturēšanas izmaksas vienā gadā (EUR)</t>
  </si>
  <si>
    <t>Iedzīvotāju skaits (ko papildus aptvers VHCN 2027.gadā)</t>
  </si>
  <si>
    <t>Ieņēmumi no uzņēmumiem gadā (EUR)</t>
  </si>
  <si>
    <t>Kopējie ieņēmumi gadā (EUR)</t>
  </si>
  <si>
    <t>Ieņēmumi no māj-saimniecībām gadā (EUR)</t>
  </si>
  <si>
    <t>Jauno uzņēmumu skaits (2027.gadā jeb 10% no 2018.gada skaita)</t>
  </si>
  <si>
    <t>kopējie ieņēmumi gadā</t>
  </si>
  <si>
    <t>uzturēšanas izdevumi gadā</t>
  </si>
  <si>
    <t>Kopējie ieņēmumi 20 gados (EUR)</t>
  </si>
  <si>
    <t>Kopējās uzturēšanas izmaksas 20 gados (EUR)</t>
  </si>
  <si>
    <t>Investīciju nepietiekamība (EUR)</t>
  </si>
  <si>
    <t>Kopējā ieņēmumi gadā, EUR</t>
  </si>
  <si>
    <t>Kopējie ieņēmumi 20 gados, EUR</t>
  </si>
  <si>
    <t>Kopējie uzturēšanas izdevumi 20 gados, EUR</t>
  </si>
  <si>
    <t>Via Baltica 5G koridors (4km)</t>
  </si>
  <si>
    <t>Teritorija</t>
  </si>
  <si>
    <t>-</t>
  </si>
  <si>
    <t>t.sk. jaunas 5G bāzes stacijas uzstādīšana uz jau esošiem 4G torņiem un to pieslēgšana optikas maģistrālei (EUR)</t>
  </si>
  <si>
    <t>Kāda daļa mājsaimniecību / uzņēmumu abonēs piekļuvi VHCN tīklam (%)</t>
  </si>
  <si>
    <t>Via Baltica koridora jauno 5G torņu skaits</t>
  </si>
  <si>
    <t>t.sk. jauni 5G torņi, kur jāsablīvē (EUR)</t>
  </si>
  <si>
    <t>4G torņu skaits, ko izmantos Via Baltica koridorā</t>
  </si>
  <si>
    <t>Jauni 5G torņi (EUR)</t>
  </si>
  <si>
    <t>5.scenārijs</t>
  </si>
  <si>
    <t>RCO 41 - Papildu mājsaimniecības ar piekļuvi ļoti augstas jaudas platjoslai (vismaz 100Mbps) – mājsaimniecību skaits</t>
  </si>
  <si>
    <t xml:space="preserve">ROC 42 - Papildu uzņēmumi ar piekļuvi ļoti lielas jaudas platjoslas pakalpojumiem (vismaz 100Mbps) – uzņēmumu skaits </t>
  </si>
  <si>
    <t>RCR 53 - Mājsaimniecības, kuras abonē platjoslas pieslēgumus ļoti lielas jaudas tīklam (vismaz 100Mbps) - mājsaimniecību skaits</t>
  </si>
  <si>
    <t xml:space="preserve">RCR 54 - Uzņēmumi, kas abonē platjoslas pieslēgumus ļoti lielas ietilpības tīklam (vismaz 100Mbps) – uzņēmumu skaits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</si>
</sst>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€&quot;#,##0.00"/>
    <numFmt numFmtId="165" formatCode="0.00000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i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rgb="FFC00000"/>
      </left>
      <right style="thick">
        <color rgb="FFC00000"/>
      </right>
      <top style="thick">
        <color rgb="FFC00000"/>
      </top>
      <bottom style="thick">
        <color rgb="FFC00000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/>
    <xf numFmtId="0" fontId="0" fillId="0" borderId="0" xfId="0" applyFont="1"/>
    <xf numFmtId="2" fontId="0" fillId="0" borderId="0" xfId="0" applyNumberFormat="1" applyFont="1"/>
    <xf numFmtId="0" fontId="1" fillId="0" borderId="0" xfId="0" applyFont="1"/>
    <xf numFmtId="1" fontId="0" fillId="0" borderId="0" xfId="0" applyNumberFormat="1"/>
    <xf numFmtId="0" fontId="0" fillId="2" borderId="1" xfId="0" applyFont="1" applyFill="1" applyBorder="1"/>
    <xf numFmtId="164" fontId="1" fillId="0" borderId="0" xfId="0" applyNumberFormat="1" applyFont="1"/>
    <xf numFmtId="0" fontId="3" fillId="0" borderId="0" xfId="0" applyFont="1"/>
    <xf numFmtId="0" fontId="0" fillId="0" borderId="0" xfId="0" quotePrefix="1" applyFont="1"/>
    <xf numFmtId="0" fontId="0" fillId="0" borderId="0" xfId="0" applyFont="1" applyFill="1" applyBorder="1"/>
    <xf numFmtId="165" fontId="0" fillId="0" borderId="0" xfId="0" applyNumberFormat="1"/>
    <xf numFmtId="1" fontId="4" fillId="0" borderId="0" xfId="0" applyNumberFormat="1" applyFont="1"/>
    <xf numFmtId="1" fontId="4" fillId="0" borderId="2" xfId="0" applyNumberFormat="1" applyFont="1" applyBorder="1"/>
    <xf numFmtId="164" fontId="0" fillId="2" borderId="0" xfId="0" applyNumberFormat="1" applyFont="1" applyFill="1"/>
    <xf numFmtId="164" fontId="0" fillId="3" borderId="0" xfId="0" applyNumberFormat="1" applyFont="1" applyFill="1"/>
    <xf numFmtId="49" fontId="0" fillId="0" borderId="0" xfId="0" applyNumberFormat="1"/>
    <xf numFmtId="0" fontId="0" fillId="0" borderId="0" xfId="0" applyAlignment="1">
      <alignment wrapText="1"/>
    </xf>
    <xf numFmtId="1" fontId="1" fillId="0" borderId="0" xfId="0" applyNumberFormat="1" applyFont="1"/>
    <xf numFmtId="3" fontId="0" fillId="2" borderId="1" xfId="0" applyNumberFormat="1" applyFont="1" applyFill="1" applyBorder="1"/>
    <xf numFmtId="3" fontId="0" fillId="0" borderId="0" xfId="0" applyNumberFormat="1"/>
    <xf numFmtId="3" fontId="1" fillId="0" borderId="0" xfId="0" applyNumberFormat="1" applyFont="1"/>
    <xf numFmtId="9" fontId="0" fillId="2" borderId="1" xfId="0" applyNumberFormat="1" applyFont="1" applyFill="1" applyBorder="1"/>
    <xf numFmtId="0" fontId="0" fillId="4" borderId="0" xfId="0" applyFill="1" applyAlignment="1">
      <alignment wrapText="1"/>
    </xf>
    <xf numFmtId="3" fontId="1" fillId="4" borderId="0" xfId="0" applyNumberFormat="1" applyFont="1" applyFill="1"/>
    <xf numFmtId="0" fontId="0" fillId="5" borderId="0" xfId="0" applyFill="1"/>
    <xf numFmtId="3" fontId="0" fillId="5" borderId="0" xfId="0" applyNumberFormat="1" applyFill="1"/>
    <xf numFmtId="0" fontId="1" fillId="6" borderId="0" xfId="0" applyFont="1" applyFill="1"/>
    <xf numFmtId="0" fontId="0" fillId="6" borderId="0" xfId="0" applyFill="1"/>
    <xf numFmtId="0" fontId="0" fillId="7" borderId="0" xfId="0" applyFill="1" applyAlignment="1">
      <alignment wrapText="1"/>
    </xf>
    <xf numFmtId="0" fontId="1" fillId="7" borderId="0" xfId="0" applyFont="1" applyFill="1"/>
    <xf numFmtId="0" fontId="0" fillId="8" borderId="0" xfId="0" applyFill="1"/>
    <xf numFmtId="3" fontId="0" fillId="8" borderId="0" xfId="0" applyNumberFormat="1" applyFill="1"/>
    <xf numFmtId="0" fontId="0" fillId="9" borderId="0" xfId="0" applyFill="1" applyAlignment="1">
      <alignment wrapText="1"/>
    </xf>
    <xf numFmtId="3" fontId="1" fillId="9" borderId="0" xfId="0" applyNumberFormat="1" applyFont="1" applyFill="1"/>
    <xf numFmtId="164" fontId="1" fillId="0" borderId="0" xfId="0" applyNumberFormat="1" applyFont="1" applyFill="1"/>
    <xf numFmtId="1" fontId="0" fillId="10" borderId="1" xfId="0" applyNumberFormat="1" applyFont="1" applyFill="1" applyBorder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68562E-BC6C-48BF-B6EE-54D6107FC5A2}">
  <dimension ref="A3:L19"/>
  <sheetViews>
    <sheetView tabSelected="1" workbookViewId="0">
      <selection activeCell="D9" sqref="D9"/>
    </sheetView>
  </sheetViews>
  <sheetFormatPr defaultRowHeight="14.4" x14ac:dyDescent="0.3"/>
  <cols>
    <col min="1" max="1" width="12.21875" style="2" customWidth="1"/>
    <col min="2" max="2" width="18.88671875" style="2" customWidth="1"/>
    <col min="3" max="3" width="14.44140625" style="2" customWidth="1"/>
    <col min="4" max="6" width="10.33203125" style="2" customWidth="1"/>
    <col min="7" max="23" width="10.33203125" customWidth="1"/>
    <col min="24" max="24" width="11" customWidth="1"/>
    <col min="26" max="26" width="12" bestFit="1" customWidth="1"/>
  </cols>
  <sheetData>
    <row r="3" spans="1:12" x14ac:dyDescent="0.3">
      <c r="B3" s="4" t="s">
        <v>55</v>
      </c>
      <c r="C3" s="6">
        <f>'5.scen'!$C$5</f>
        <v>17600</v>
      </c>
      <c r="D3" s="2" t="s">
        <v>56</v>
      </c>
    </row>
    <row r="4" spans="1:12" x14ac:dyDescent="0.3">
      <c r="C4" s="6">
        <f>'5.scen'!$E$5+'5.scen'!$F$5</f>
        <v>7066</v>
      </c>
      <c r="D4" s="2" t="s">
        <v>57</v>
      </c>
    </row>
    <row r="5" spans="1:12" x14ac:dyDescent="0.3">
      <c r="C5" s="6">
        <f>'5.scen'!$F$5</f>
        <v>642</v>
      </c>
      <c r="D5" s="2" t="s">
        <v>8</v>
      </c>
    </row>
    <row r="7" spans="1:12" x14ac:dyDescent="0.3">
      <c r="C7" s="36">
        <v>23400</v>
      </c>
      <c r="D7" t="s">
        <v>58</v>
      </c>
    </row>
    <row r="8" spans="1:12" x14ac:dyDescent="0.3">
      <c r="C8" s="36">
        <v>6160</v>
      </c>
      <c r="D8" t="s">
        <v>59</v>
      </c>
    </row>
    <row r="9" spans="1:12" x14ac:dyDescent="0.3">
      <c r="I9" s="8"/>
    </row>
    <row r="10" spans="1:12" x14ac:dyDescent="0.3">
      <c r="B10" s="7">
        <f>'5.scen'!$P$5</f>
        <v>1761120</v>
      </c>
      <c r="C10" s="2" t="s">
        <v>43</v>
      </c>
    </row>
    <row r="11" spans="1:12" x14ac:dyDescent="0.3">
      <c r="A11" s="9" t="s">
        <v>4</v>
      </c>
      <c r="B11" s="7">
        <f>'5.scen'!$Q$5</f>
        <v>21947447.878454003</v>
      </c>
      <c r="C11" s="2" t="s">
        <v>44</v>
      </c>
    </row>
    <row r="12" spans="1:12" x14ac:dyDescent="0.3">
      <c r="A12" s="9"/>
      <c r="B12" s="7"/>
    </row>
    <row r="13" spans="1:12" x14ac:dyDescent="0.3">
      <c r="A13" s="9" t="s">
        <v>5</v>
      </c>
      <c r="B13" s="35">
        <f>'5.scen'!$K$5</f>
        <v>25610000</v>
      </c>
      <c r="C13" s="2" t="s">
        <v>2</v>
      </c>
      <c r="E13" s="8"/>
    </row>
    <row r="14" spans="1:12" x14ac:dyDescent="0.3">
      <c r="A14" s="9"/>
      <c r="B14" s="35">
        <f>'5.scen'!$I$5</f>
        <v>16810000</v>
      </c>
      <c r="C14" s="37" t="s">
        <v>49</v>
      </c>
      <c r="E14" s="8"/>
      <c r="L14" s="8"/>
    </row>
    <row r="15" spans="1:12" x14ac:dyDescent="0.3">
      <c r="A15" s="9"/>
      <c r="B15" s="35">
        <f>'5.scen'!$J$5</f>
        <v>8800000</v>
      </c>
      <c r="C15" s="37" t="s">
        <v>52</v>
      </c>
      <c r="E15" s="8"/>
      <c r="L15" s="8"/>
    </row>
    <row r="16" spans="1:12" x14ac:dyDescent="0.3">
      <c r="A16" s="9"/>
      <c r="B16" s="35"/>
      <c r="C16" s="10"/>
      <c r="E16" s="8"/>
    </row>
    <row r="17" spans="1:3" x14ac:dyDescent="0.3">
      <c r="B17" s="35">
        <f>'5.scen'!$L$5</f>
        <v>768300</v>
      </c>
      <c r="C17" s="2" t="s">
        <v>3</v>
      </c>
    </row>
    <row r="18" spans="1:3" x14ac:dyDescent="0.3">
      <c r="A18" s="9" t="s">
        <v>6</v>
      </c>
      <c r="B18" s="35">
        <f>'5.scen'!$M$5</f>
        <v>9574716.2061734665</v>
      </c>
      <c r="C18" s="2" t="s">
        <v>45</v>
      </c>
    </row>
    <row r="19" spans="1:3" x14ac:dyDescent="0.3">
      <c r="A19" s="9" t="s">
        <v>7</v>
      </c>
      <c r="B19" s="7">
        <f>'5.scen'!$S$5</f>
        <v>-13237268.327719463</v>
      </c>
    </row>
  </sheetData>
  <pageMargins left="0.7" right="0.7" top="0.75" bottom="0.75" header="0.3" footer="0.3"/>
  <pageSetup paperSize="9" orientation="portrait" r:id="rId1"/>
  <ignoredErrors>
    <ignoredError sqref="A13 A18 A11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6796D0-034B-4489-9F7A-FA50DAAAE9E8}">
  <dimension ref="A2:S18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21" sqref="A21"/>
    </sheetView>
  </sheetViews>
  <sheetFormatPr defaultRowHeight="14.4" x14ac:dyDescent="0.3"/>
  <cols>
    <col min="1" max="1" width="29.33203125" customWidth="1"/>
    <col min="2" max="2" width="11.44140625" customWidth="1"/>
    <col min="3" max="4" width="20" customWidth="1"/>
    <col min="5" max="6" width="12.109375" customWidth="1"/>
    <col min="7" max="7" width="8.88671875" customWidth="1"/>
    <col min="8" max="8" width="12.21875" customWidth="1"/>
    <col min="9" max="12" width="14.77734375" customWidth="1"/>
    <col min="13" max="13" width="13.6640625" customWidth="1"/>
    <col min="14" max="16" width="12.77734375" customWidth="1"/>
    <col min="17" max="17" width="11.88671875" customWidth="1"/>
    <col min="19" max="19" width="15.44140625" customWidth="1"/>
  </cols>
  <sheetData>
    <row r="2" spans="1:19" ht="129.6" x14ac:dyDescent="0.3">
      <c r="C2" s="29" t="s">
        <v>29</v>
      </c>
      <c r="D2" s="17" t="s">
        <v>33</v>
      </c>
      <c r="E2" s="29" t="s">
        <v>30</v>
      </c>
      <c r="F2" s="29" t="s">
        <v>37</v>
      </c>
      <c r="G2" s="17" t="s">
        <v>53</v>
      </c>
      <c r="H2" s="17" t="s">
        <v>51</v>
      </c>
      <c r="I2" s="17" t="s">
        <v>27</v>
      </c>
      <c r="J2" s="17" t="s">
        <v>54</v>
      </c>
      <c r="K2" s="23" t="s">
        <v>28</v>
      </c>
      <c r="L2" s="17" t="s">
        <v>32</v>
      </c>
      <c r="M2" s="23" t="s">
        <v>41</v>
      </c>
      <c r="N2" s="17" t="s">
        <v>36</v>
      </c>
      <c r="O2" s="17" t="s">
        <v>34</v>
      </c>
      <c r="P2" s="17" t="s">
        <v>35</v>
      </c>
      <c r="Q2" s="23" t="s">
        <v>40</v>
      </c>
      <c r="S2" s="33" t="s">
        <v>42</v>
      </c>
    </row>
    <row r="3" spans="1:19" x14ac:dyDescent="0.3">
      <c r="A3" s="4" t="s">
        <v>47</v>
      </c>
      <c r="B3" s="4" t="s">
        <v>11</v>
      </c>
      <c r="C3" s="27" t="s">
        <v>17</v>
      </c>
      <c r="D3" s="4" t="s">
        <v>15</v>
      </c>
      <c r="E3" s="27" t="s">
        <v>18</v>
      </c>
      <c r="F3" s="27" t="s">
        <v>19</v>
      </c>
      <c r="G3" s="18" t="s">
        <v>20</v>
      </c>
      <c r="H3" s="18" t="s">
        <v>21</v>
      </c>
      <c r="K3" s="25"/>
      <c r="M3" s="25"/>
      <c r="Q3" s="25"/>
      <c r="S3" s="31"/>
    </row>
    <row r="4" spans="1:19" x14ac:dyDescent="0.3">
      <c r="A4" t="s">
        <v>46</v>
      </c>
      <c r="B4" s="16" t="s">
        <v>48</v>
      </c>
      <c r="C4" s="28">
        <f>ROUND(D4/$B$11,0)</f>
        <v>17600</v>
      </c>
      <c r="D4">
        <v>40127</v>
      </c>
      <c r="E4" s="28">
        <v>6424</v>
      </c>
      <c r="F4" s="28">
        <f>ROUND(E4*0.1,0)</f>
        <v>642</v>
      </c>
      <c r="G4" s="5">
        <v>82</v>
      </c>
      <c r="H4">
        <v>20</v>
      </c>
      <c r="I4" s="20">
        <f>G4*$B$12+G4*$B$13*$B$15*$B$16</f>
        <v>16810000</v>
      </c>
      <c r="J4" s="20">
        <f>H4*$B$14+H4*$B$15*$B$16+H4*$B$12</f>
        <v>8800000</v>
      </c>
      <c r="K4" s="26">
        <f>I4+J4</f>
        <v>25610000</v>
      </c>
      <c r="L4" s="20">
        <f>K4*$B$17</f>
        <v>768300</v>
      </c>
      <c r="M4" s="26">
        <f>NPV_calc!$C$10</f>
        <v>9574716.2061734665</v>
      </c>
      <c r="N4" s="20">
        <f>C4*$B$18*$B$8*12</f>
        <v>528000</v>
      </c>
      <c r="O4" s="20">
        <f>E4*$B$18*$B$9*12 +F4*$B$18*$B$10*12</f>
        <v>1233120</v>
      </c>
      <c r="P4" s="20">
        <f>N4+O4</f>
        <v>1761120</v>
      </c>
      <c r="Q4" s="26">
        <f>NPV_calc!$C$7</f>
        <v>21947447.878454003</v>
      </c>
      <c r="S4" s="32">
        <f>Q4-K4-M4</f>
        <v>-13237268.327719463</v>
      </c>
    </row>
    <row r="5" spans="1:19" x14ac:dyDescent="0.3">
      <c r="C5" s="30">
        <f t="shared" ref="C5:Q5" si="0">SUM(C4:C4)</f>
        <v>17600</v>
      </c>
      <c r="D5" s="4">
        <f t="shared" si="0"/>
        <v>40127</v>
      </c>
      <c r="E5" s="30">
        <f t="shared" si="0"/>
        <v>6424</v>
      </c>
      <c r="F5" s="30">
        <f t="shared" si="0"/>
        <v>642</v>
      </c>
      <c r="G5" s="4">
        <f t="shared" si="0"/>
        <v>82</v>
      </c>
      <c r="H5" s="4">
        <f t="shared" si="0"/>
        <v>20</v>
      </c>
      <c r="I5" s="21">
        <f t="shared" si="0"/>
        <v>16810000</v>
      </c>
      <c r="J5" s="21">
        <f t="shared" si="0"/>
        <v>8800000</v>
      </c>
      <c r="K5" s="24">
        <f t="shared" si="0"/>
        <v>25610000</v>
      </c>
      <c r="L5" s="21">
        <f t="shared" si="0"/>
        <v>768300</v>
      </c>
      <c r="M5" s="24">
        <f t="shared" si="0"/>
        <v>9574716.2061734665</v>
      </c>
      <c r="N5" s="21">
        <f t="shared" si="0"/>
        <v>528000</v>
      </c>
      <c r="O5" s="21">
        <f t="shared" si="0"/>
        <v>1233120</v>
      </c>
      <c r="P5" s="21">
        <f t="shared" si="0"/>
        <v>1761120</v>
      </c>
      <c r="Q5" s="24">
        <f t="shared" si="0"/>
        <v>21947447.878454003</v>
      </c>
      <c r="S5" s="34">
        <f>SUM(S4:S4)</f>
        <v>-13237268.327719463</v>
      </c>
    </row>
    <row r="8" spans="1:19" x14ac:dyDescent="0.3">
      <c r="B8" s="6">
        <v>5</v>
      </c>
      <c r="C8" t="s">
        <v>14</v>
      </c>
    </row>
    <row r="9" spans="1:19" x14ac:dyDescent="0.3">
      <c r="B9" s="6">
        <v>20</v>
      </c>
      <c r="C9" t="s">
        <v>13</v>
      </c>
    </row>
    <row r="10" spans="1:19" x14ac:dyDescent="0.3">
      <c r="B10" s="6">
        <v>120</v>
      </c>
      <c r="C10" t="s">
        <v>12</v>
      </c>
    </row>
    <row r="11" spans="1:19" x14ac:dyDescent="0.3">
      <c r="B11" s="6">
        <v>2.2799999999999998</v>
      </c>
      <c r="C11" t="s">
        <v>16</v>
      </c>
    </row>
    <row r="12" spans="1:19" x14ac:dyDescent="0.3">
      <c r="B12" s="19">
        <v>70000</v>
      </c>
      <c r="C12" t="s">
        <v>22</v>
      </c>
    </row>
    <row r="13" spans="1:19" x14ac:dyDescent="0.3">
      <c r="B13" s="22">
        <v>0.5</v>
      </c>
      <c r="C13" t="s">
        <v>26</v>
      </c>
    </row>
    <row r="14" spans="1:19" x14ac:dyDescent="0.3">
      <c r="B14" s="19">
        <v>100000</v>
      </c>
      <c r="C14" t="s">
        <v>23</v>
      </c>
    </row>
    <row r="15" spans="1:19" x14ac:dyDescent="0.3">
      <c r="B15" s="6">
        <v>9</v>
      </c>
      <c r="C15" t="s">
        <v>24</v>
      </c>
    </row>
    <row r="16" spans="1:19" x14ac:dyDescent="0.3">
      <c r="B16" s="19">
        <f>30*1000</f>
        <v>30000</v>
      </c>
      <c r="C16" t="s">
        <v>25</v>
      </c>
    </row>
    <row r="17" spans="2:3" x14ac:dyDescent="0.3">
      <c r="B17" s="22">
        <f>0.03</f>
        <v>0.03</v>
      </c>
      <c r="C17" t="s">
        <v>31</v>
      </c>
    </row>
    <row r="18" spans="2:3" x14ac:dyDescent="0.3">
      <c r="B18" s="22">
        <f>0.5</f>
        <v>0.5</v>
      </c>
      <c r="C18" t="s">
        <v>50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1DB81E-68FA-46AB-A021-A9E4D923A5D7}">
  <dimension ref="A2:AA11"/>
  <sheetViews>
    <sheetView workbookViewId="0">
      <selection activeCell="B15" sqref="B15"/>
    </sheetView>
  </sheetViews>
  <sheetFormatPr defaultRowHeight="14.4" x14ac:dyDescent="0.3"/>
  <cols>
    <col min="2" max="2" width="23.33203125" customWidth="1"/>
    <col min="3" max="3" width="15.44140625" customWidth="1"/>
  </cols>
  <sheetData>
    <row r="2" spans="1:27" x14ac:dyDescent="0.3">
      <c r="A2" s="2"/>
      <c r="B2" s="2" t="s">
        <v>1</v>
      </c>
      <c r="C2" s="2"/>
      <c r="D2" s="2"/>
      <c r="E2" s="2">
        <v>1</v>
      </c>
      <c r="F2" s="2">
        <v>2</v>
      </c>
      <c r="G2">
        <v>3</v>
      </c>
      <c r="H2">
        <v>4</v>
      </c>
      <c r="I2">
        <v>5</v>
      </c>
      <c r="J2">
        <v>6</v>
      </c>
      <c r="K2">
        <v>7</v>
      </c>
      <c r="L2">
        <v>8</v>
      </c>
      <c r="M2">
        <v>9</v>
      </c>
      <c r="N2">
        <v>10</v>
      </c>
      <c r="O2">
        <v>11</v>
      </c>
      <c r="P2">
        <v>12</v>
      </c>
      <c r="Q2">
        <v>13</v>
      </c>
      <c r="R2">
        <v>14</v>
      </c>
      <c r="S2">
        <v>15</v>
      </c>
      <c r="T2">
        <v>16</v>
      </c>
      <c r="U2">
        <v>17</v>
      </c>
      <c r="V2">
        <v>18</v>
      </c>
      <c r="W2">
        <v>19</v>
      </c>
      <c r="X2">
        <v>20</v>
      </c>
    </row>
    <row r="3" spans="1:27" x14ac:dyDescent="0.3">
      <c r="A3" s="2"/>
      <c r="B3" s="2" t="s">
        <v>0</v>
      </c>
      <c r="C3" s="2">
        <v>0.05</v>
      </c>
      <c r="D3" s="2"/>
      <c r="E3" s="3">
        <f>(1+diskonta_likme)</f>
        <v>1.05</v>
      </c>
      <c r="F3" s="3">
        <f t="shared" ref="F3:X3" si="0">E3*(1+diskonta_likme)</f>
        <v>1.1025</v>
      </c>
      <c r="G3" s="3">
        <f t="shared" si="0"/>
        <v>1.1576250000000001</v>
      </c>
      <c r="H3" s="3">
        <f t="shared" si="0"/>
        <v>1.2155062500000002</v>
      </c>
      <c r="I3" s="3">
        <f t="shared" si="0"/>
        <v>1.2762815625000004</v>
      </c>
      <c r="J3" s="3">
        <f t="shared" si="0"/>
        <v>1.3400956406250004</v>
      </c>
      <c r="K3" s="3">
        <f t="shared" si="0"/>
        <v>1.4071004226562505</v>
      </c>
      <c r="L3" s="3">
        <f t="shared" si="0"/>
        <v>1.477455443789063</v>
      </c>
      <c r="M3" s="3">
        <f t="shared" si="0"/>
        <v>1.5513282159785162</v>
      </c>
      <c r="N3" s="3">
        <f t="shared" si="0"/>
        <v>1.628894626777442</v>
      </c>
      <c r="O3" s="3">
        <f t="shared" si="0"/>
        <v>1.7103393581163142</v>
      </c>
      <c r="P3" s="3">
        <f t="shared" si="0"/>
        <v>1.7958563260221301</v>
      </c>
      <c r="Q3" s="3">
        <f t="shared" si="0"/>
        <v>1.8856491423232367</v>
      </c>
      <c r="R3" s="3">
        <f t="shared" si="0"/>
        <v>1.9799315994393987</v>
      </c>
      <c r="S3" s="3">
        <f t="shared" si="0"/>
        <v>2.0789281794113688</v>
      </c>
      <c r="T3" s="3">
        <f t="shared" si="0"/>
        <v>2.1828745883819374</v>
      </c>
      <c r="U3" s="3">
        <f t="shared" si="0"/>
        <v>2.2920183178010345</v>
      </c>
      <c r="V3" s="3">
        <f t="shared" si="0"/>
        <v>2.4066192336910861</v>
      </c>
      <c r="W3" s="3">
        <f t="shared" si="0"/>
        <v>2.5269501953756404</v>
      </c>
      <c r="X3" s="3">
        <f t="shared" si="0"/>
        <v>2.6532977051444226</v>
      </c>
      <c r="Z3" s="11"/>
    </row>
    <row r="4" spans="1:27" x14ac:dyDescent="0.3">
      <c r="A4" s="2"/>
      <c r="B4" s="2"/>
      <c r="C4" s="2"/>
      <c r="D4" s="2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Z4" s="11"/>
    </row>
    <row r="5" spans="1:27" x14ac:dyDescent="0.3">
      <c r="A5" s="2">
        <f>ROW()-1</f>
        <v>4</v>
      </c>
      <c r="B5" s="2" t="s">
        <v>38</v>
      </c>
      <c r="C5" s="14">
        <f>'5.scen'!$P$4</f>
        <v>1761120</v>
      </c>
      <c r="D5" s="1"/>
      <c r="E5" s="12">
        <f t="shared" ref="E5:J5" si="1">$C5</f>
        <v>1761120</v>
      </c>
      <c r="F5" s="12">
        <f t="shared" si="1"/>
        <v>1761120</v>
      </c>
      <c r="G5" s="12">
        <f t="shared" si="1"/>
        <v>1761120</v>
      </c>
      <c r="H5" s="12">
        <f t="shared" si="1"/>
        <v>1761120</v>
      </c>
      <c r="I5" s="12">
        <f t="shared" si="1"/>
        <v>1761120</v>
      </c>
      <c r="J5" s="12">
        <f t="shared" si="1"/>
        <v>1761120</v>
      </c>
      <c r="K5" s="12">
        <f t="shared" ref="K5:X5" si="2">$C5</f>
        <v>1761120</v>
      </c>
      <c r="L5" s="12">
        <f t="shared" si="2"/>
        <v>1761120</v>
      </c>
      <c r="M5" s="12">
        <f t="shared" si="2"/>
        <v>1761120</v>
      </c>
      <c r="N5" s="12">
        <f t="shared" si="2"/>
        <v>1761120</v>
      </c>
      <c r="O5" s="12">
        <f t="shared" si="2"/>
        <v>1761120</v>
      </c>
      <c r="P5" s="12">
        <f t="shared" si="2"/>
        <v>1761120</v>
      </c>
      <c r="Q5" s="12">
        <f t="shared" si="2"/>
        <v>1761120</v>
      </c>
      <c r="R5" s="12">
        <f t="shared" si="2"/>
        <v>1761120</v>
      </c>
      <c r="S5" s="12">
        <f t="shared" si="2"/>
        <v>1761120</v>
      </c>
      <c r="T5" s="12">
        <f t="shared" si="2"/>
        <v>1761120</v>
      </c>
      <c r="U5" s="12">
        <f t="shared" si="2"/>
        <v>1761120</v>
      </c>
      <c r="V5" s="12">
        <f t="shared" si="2"/>
        <v>1761120</v>
      </c>
      <c r="W5" s="12">
        <f t="shared" si="2"/>
        <v>1761120</v>
      </c>
      <c r="X5" s="12">
        <f t="shared" si="2"/>
        <v>1761120</v>
      </c>
    </row>
    <row r="6" spans="1:27" ht="15" thickBot="1" x14ac:dyDescent="0.35">
      <c r="A6" s="2"/>
      <c r="B6" s="2" t="s">
        <v>9</v>
      </c>
      <c r="C6" s="2"/>
      <c r="D6" s="2"/>
      <c r="E6" s="12">
        <f t="shared" ref="E6:X6" si="3">E5/E$3</f>
        <v>1677257.1428571427</v>
      </c>
      <c r="F6" s="12">
        <f t="shared" si="3"/>
        <v>1597387.7551020407</v>
      </c>
      <c r="G6" s="12">
        <f t="shared" si="3"/>
        <v>1521321.6715257531</v>
      </c>
      <c r="H6" s="12">
        <f t="shared" si="3"/>
        <v>1448877.7824054789</v>
      </c>
      <c r="I6" s="12">
        <f t="shared" si="3"/>
        <v>1379883.6022909321</v>
      </c>
      <c r="J6" s="12">
        <f t="shared" si="3"/>
        <v>1314174.8593246972</v>
      </c>
      <c r="K6" s="12">
        <f t="shared" si="3"/>
        <v>1251595.1041187593</v>
      </c>
      <c r="L6" s="12">
        <f t="shared" si="3"/>
        <v>1191995.3372559613</v>
      </c>
      <c r="M6" s="12">
        <f t="shared" si="3"/>
        <v>1135233.6545294868</v>
      </c>
      <c r="N6" s="12">
        <f t="shared" si="3"/>
        <v>1081174.9090757018</v>
      </c>
      <c r="O6" s="12">
        <f t="shared" si="3"/>
        <v>1029690.3895959064</v>
      </c>
      <c r="P6" s="12">
        <f t="shared" si="3"/>
        <v>980657.51390086312</v>
      </c>
      <c r="Q6" s="12">
        <f t="shared" si="3"/>
        <v>933959.53704844101</v>
      </c>
      <c r="R6" s="12">
        <f t="shared" si="3"/>
        <v>889485.27337946754</v>
      </c>
      <c r="S6" s="12">
        <f t="shared" si="3"/>
        <v>847128.831789969</v>
      </c>
      <c r="T6" s="12">
        <f t="shared" si="3"/>
        <v>806789.36360949429</v>
      </c>
      <c r="U6" s="12">
        <f t="shared" si="3"/>
        <v>768370.82248523261</v>
      </c>
      <c r="V6" s="12">
        <f t="shared" si="3"/>
        <v>731781.7357002215</v>
      </c>
      <c r="W6" s="12">
        <f t="shared" si="3"/>
        <v>696934.98638116335</v>
      </c>
      <c r="X6" s="12">
        <f t="shared" si="3"/>
        <v>663747.60607729841</v>
      </c>
      <c r="Z6" s="5"/>
      <c r="AA6" s="4"/>
    </row>
    <row r="7" spans="1:27" ht="15.6" thickTop="1" thickBot="1" x14ac:dyDescent="0.35">
      <c r="A7" s="2"/>
      <c r="B7" s="2" t="s">
        <v>10</v>
      </c>
      <c r="C7" s="7">
        <f>X7</f>
        <v>21947447.878454003</v>
      </c>
      <c r="D7" s="2"/>
      <c r="E7" s="12">
        <f>E6</f>
        <v>1677257.1428571427</v>
      </c>
      <c r="F7" s="12">
        <f t="shared" ref="F7:X7" si="4">E7+F6</f>
        <v>3274644.8979591834</v>
      </c>
      <c r="G7" s="12">
        <f t="shared" si="4"/>
        <v>4795966.5694849361</v>
      </c>
      <c r="H7" s="12">
        <f t="shared" si="4"/>
        <v>6244844.351890415</v>
      </c>
      <c r="I7" s="12">
        <f t="shared" si="4"/>
        <v>7624727.954181347</v>
      </c>
      <c r="J7" s="12">
        <f t="shared" si="4"/>
        <v>8938902.8135060444</v>
      </c>
      <c r="K7" s="12">
        <f t="shared" si="4"/>
        <v>10190497.917624803</v>
      </c>
      <c r="L7" s="12">
        <f t="shared" si="4"/>
        <v>11382493.254880764</v>
      </c>
      <c r="M7" s="12">
        <f t="shared" si="4"/>
        <v>12517726.909410249</v>
      </c>
      <c r="N7" s="12">
        <f t="shared" si="4"/>
        <v>13598901.818485951</v>
      </c>
      <c r="O7" s="12">
        <f t="shared" si="4"/>
        <v>14628592.208081858</v>
      </c>
      <c r="P7" s="12">
        <f t="shared" si="4"/>
        <v>15609249.721982721</v>
      </c>
      <c r="Q7" s="12">
        <f t="shared" si="4"/>
        <v>16543209.259031162</v>
      </c>
      <c r="R7" s="12">
        <f t="shared" si="4"/>
        <v>17432694.532410629</v>
      </c>
      <c r="S7" s="12">
        <f t="shared" si="4"/>
        <v>18279823.364200599</v>
      </c>
      <c r="T7" s="12">
        <f t="shared" si="4"/>
        <v>19086612.727810092</v>
      </c>
      <c r="U7" s="12">
        <f t="shared" si="4"/>
        <v>19854983.550295323</v>
      </c>
      <c r="V7" s="12">
        <f t="shared" si="4"/>
        <v>20586765.285995543</v>
      </c>
      <c r="W7" s="12">
        <f t="shared" si="4"/>
        <v>21283700.272376705</v>
      </c>
      <c r="X7" s="13">
        <f t="shared" si="4"/>
        <v>21947447.878454003</v>
      </c>
    </row>
    <row r="8" spans="1:27" ht="15" thickTop="1" x14ac:dyDescent="0.3">
      <c r="B8" s="2" t="s">
        <v>39</v>
      </c>
      <c r="C8" s="15">
        <f>'5.scen'!$L$4</f>
        <v>768300</v>
      </c>
      <c r="E8" s="12">
        <f>$C8</f>
        <v>768300</v>
      </c>
      <c r="F8" s="12">
        <f t="shared" ref="F8:X8" si="5">$C8</f>
        <v>768300</v>
      </c>
      <c r="G8" s="12">
        <f t="shared" si="5"/>
        <v>768300</v>
      </c>
      <c r="H8" s="12">
        <f t="shared" si="5"/>
        <v>768300</v>
      </c>
      <c r="I8" s="12">
        <f t="shared" si="5"/>
        <v>768300</v>
      </c>
      <c r="J8" s="12">
        <f t="shared" si="5"/>
        <v>768300</v>
      </c>
      <c r="K8" s="12">
        <f t="shared" si="5"/>
        <v>768300</v>
      </c>
      <c r="L8" s="12">
        <f t="shared" si="5"/>
        <v>768300</v>
      </c>
      <c r="M8" s="12">
        <f t="shared" si="5"/>
        <v>768300</v>
      </c>
      <c r="N8" s="12">
        <f t="shared" si="5"/>
        <v>768300</v>
      </c>
      <c r="O8" s="12">
        <f t="shared" si="5"/>
        <v>768300</v>
      </c>
      <c r="P8" s="12">
        <f t="shared" si="5"/>
        <v>768300</v>
      </c>
      <c r="Q8" s="12">
        <f t="shared" si="5"/>
        <v>768300</v>
      </c>
      <c r="R8" s="12">
        <f t="shared" si="5"/>
        <v>768300</v>
      </c>
      <c r="S8" s="12">
        <f t="shared" si="5"/>
        <v>768300</v>
      </c>
      <c r="T8" s="12">
        <f t="shared" si="5"/>
        <v>768300</v>
      </c>
      <c r="U8" s="12">
        <f t="shared" si="5"/>
        <v>768300</v>
      </c>
      <c r="V8" s="12">
        <f t="shared" si="5"/>
        <v>768300</v>
      </c>
      <c r="W8" s="12">
        <f t="shared" si="5"/>
        <v>768300</v>
      </c>
      <c r="X8" s="12">
        <f t="shared" si="5"/>
        <v>768300</v>
      </c>
    </row>
    <row r="9" spans="1:27" ht="15" thickBot="1" x14ac:dyDescent="0.35">
      <c r="B9" s="2" t="s">
        <v>9</v>
      </c>
      <c r="E9" s="12">
        <f t="shared" ref="E9:X9" si="6">E8/E$3</f>
        <v>731714.28571428568</v>
      </c>
      <c r="F9" s="12">
        <f t="shared" si="6"/>
        <v>696870.74829931976</v>
      </c>
      <c r="G9" s="12">
        <f t="shared" si="6"/>
        <v>663686.42695173295</v>
      </c>
      <c r="H9" s="12">
        <f t="shared" si="6"/>
        <v>632082.31138260278</v>
      </c>
      <c r="I9" s="12">
        <f t="shared" si="6"/>
        <v>601983.15369771689</v>
      </c>
      <c r="J9" s="12">
        <f t="shared" si="6"/>
        <v>573317.28923592088</v>
      </c>
      <c r="K9" s="12">
        <f t="shared" si="6"/>
        <v>546016.46593897219</v>
      </c>
      <c r="L9" s="12">
        <f t="shared" si="6"/>
        <v>520015.68184664019</v>
      </c>
      <c r="M9" s="12">
        <f t="shared" si="6"/>
        <v>495253.03033013351</v>
      </c>
      <c r="N9" s="12">
        <f t="shared" si="6"/>
        <v>471669.55269536527</v>
      </c>
      <c r="O9" s="12">
        <f t="shared" si="6"/>
        <v>449209.09780510975</v>
      </c>
      <c r="P9" s="12">
        <f t="shared" si="6"/>
        <v>427818.18838581874</v>
      </c>
      <c r="Q9" s="12">
        <f t="shared" si="6"/>
        <v>407445.89370077976</v>
      </c>
      <c r="R9" s="12">
        <f t="shared" si="6"/>
        <v>388043.70828645688</v>
      </c>
      <c r="S9" s="12">
        <f t="shared" si="6"/>
        <v>369565.43646329222</v>
      </c>
      <c r="T9" s="12">
        <f t="shared" si="6"/>
        <v>351967.08234599256</v>
      </c>
      <c r="U9" s="12">
        <f t="shared" si="6"/>
        <v>335206.74509142147</v>
      </c>
      <c r="V9" s="12">
        <f t="shared" si="6"/>
        <v>319244.51913468714</v>
      </c>
      <c r="W9" s="12">
        <f t="shared" si="6"/>
        <v>304042.39917589253</v>
      </c>
      <c r="X9" s="12">
        <f t="shared" si="6"/>
        <v>289564.18969132617</v>
      </c>
    </row>
    <row r="10" spans="1:27" ht="15.6" thickTop="1" thickBot="1" x14ac:dyDescent="0.35">
      <c r="B10" s="2" t="s">
        <v>10</v>
      </c>
      <c r="C10" s="7">
        <f>X10</f>
        <v>9574716.2061734665</v>
      </c>
      <c r="E10" s="12">
        <f>E9</f>
        <v>731714.28571428568</v>
      </c>
      <c r="F10" s="12">
        <f>E10+F9</f>
        <v>1428585.0340136054</v>
      </c>
      <c r="G10" s="12">
        <f t="shared" ref="G10:X10" si="7">F10+G9</f>
        <v>2092271.4609653384</v>
      </c>
      <c r="H10" s="12">
        <f t="shared" si="7"/>
        <v>2724353.7723479411</v>
      </c>
      <c r="I10" s="12">
        <f t="shared" si="7"/>
        <v>3326336.9260456581</v>
      </c>
      <c r="J10" s="12">
        <f t="shared" si="7"/>
        <v>3899654.2152815787</v>
      </c>
      <c r="K10" s="12">
        <f t="shared" si="7"/>
        <v>4445670.681220551</v>
      </c>
      <c r="L10" s="12">
        <f t="shared" si="7"/>
        <v>4965686.3630671911</v>
      </c>
      <c r="M10" s="12">
        <f t="shared" si="7"/>
        <v>5460939.3933973247</v>
      </c>
      <c r="N10" s="12">
        <f t="shared" si="7"/>
        <v>5932608.9460926903</v>
      </c>
      <c r="O10" s="12">
        <f t="shared" si="7"/>
        <v>6381818.0438978001</v>
      </c>
      <c r="P10" s="12">
        <f t="shared" si="7"/>
        <v>6809636.2322836192</v>
      </c>
      <c r="Q10" s="12">
        <f t="shared" si="7"/>
        <v>7217082.1259843986</v>
      </c>
      <c r="R10" s="12">
        <f t="shared" si="7"/>
        <v>7605125.8342708554</v>
      </c>
      <c r="S10" s="12">
        <f t="shared" si="7"/>
        <v>7974691.2707341481</v>
      </c>
      <c r="T10" s="12">
        <f t="shared" si="7"/>
        <v>8326658.3530801404</v>
      </c>
      <c r="U10" s="12">
        <f t="shared" si="7"/>
        <v>8661865.098171562</v>
      </c>
      <c r="V10" s="12">
        <f t="shared" si="7"/>
        <v>8981109.6173062492</v>
      </c>
      <c r="W10" s="12">
        <f t="shared" si="7"/>
        <v>9285152.0164821409</v>
      </c>
      <c r="X10" s="13">
        <f t="shared" si="7"/>
        <v>9574716.2061734665</v>
      </c>
    </row>
    <row r="11" spans="1:27" ht="15" thickTop="1" x14ac:dyDescent="0.3"/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33CF54E7321744D818D1FFE715035B5" ma:contentTypeVersion="1" ma:contentTypeDescription="Create a new document." ma:contentTypeScope="" ma:versionID="d5c9af9074016befac391b92f734593a">
  <xsd:schema xmlns:xsd="http://www.w3.org/2001/XMLSchema" xmlns:xs="http://www.w3.org/2001/XMLSchema" xmlns:p="http://schemas.microsoft.com/office/2006/metadata/properties" xmlns:ns2="a6fffc4f-e627-4d17-b68c-132ced7b5152" targetNamespace="http://schemas.microsoft.com/office/2006/metadata/properties" ma:root="true" ma:fieldsID="79d495a4b7449e8bcd0809ebb8bf0751" ns2:_="">
    <xsd:import namespace="a6fffc4f-e627-4d17-b68c-132ced7b5152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fffc4f-e627-4d17-b68c-132ced7b515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BD11033-2924-4D36-B776-0FEABEEDA75D}"/>
</file>

<file path=customXml/itemProps2.xml><?xml version="1.0" encoding="utf-8"?>
<ds:datastoreItem xmlns:ds="http://schemas.openxmlformats.org/officeDocument/2006/customXml" ds:itemID="{9FF435E9-CE5E-4F6C-B255-C97FF4B6C999}"/>
</file>

<file path=customXml/itemProps3.xml><?xml version="1.0" encoding="utf-8"?>
<ds:datastoreItem xmlns:ds="http://schemas.openxmlformats.org/officeDocument/2006/customXml" ds:itemID="{542B6319-0FC7-445C-BEE4-CFB5D06CA90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Summary</vt:lpstr>
      <vt:lpstr>5.scen</vt:lpstr>
      <vt:lpstr>NPV_calc</vt:lpstr>
      <vt:lpstr>diskonta_likme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Harijs Baranovs</dc:creator>
  <cp:lastModifiedBy>Harijs Baranovs</cp:lastModifiedBy>
  <dcterms:created xsi:type="dcterms:W3CDTF">2020-10-29T14:14:10Z</dcterms:created>
  <dcterms:modified xsi:type="dcterms:W3CDTF">2020-12-02T14:08:34Z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0x010100E33CF54E7321744D818D1FFE715035B5</vt:lpwstr>
  </property>
</Properties>
</file>